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50" activeTab="4"/>
  </bookViews>
  <sheets>
    <sheet name="1 зад" sheetId="1" r:id="rId1"/>
    <sheet name="2 зад" sheetId="2" r:id="rId2"/>
    <sheet name="3 зад" sheetId="3" r:id="rId3"/>
    <sheet name="5 зад" sheetId="5" r:id="rId4"/>
    <sheet name="4 зад" sheetId="4" r:id="rId5"/>
    <sheet name="6зад" sheetId="6" r:id="rId6"/>
  </sheets>
  <calcPr calcId="162913"/>
</workbook>
</file>

<file path=xl/calcChain.xml><?xml version="1.0" encoding="utf-8"?>
<calcChain xmlns="http://schemas.openxmlformats.org/spreadsheetml/2006/main">
  <c r="T10" i="6" l="1"/>
  <c r="T9" i="6"/>
  <c r="T8" i="6"/>
  <c r="I13" i="2"/>
  <c r="I14" i="2" s="1"/>
  <c r="I12" i="2"/>
  <c r="S15" i="5"/>
  <c r="S14" i="5"/>
  <c r="S13" i="5"/>
  <c r="S12" i="5"/>
  <c r="S11" i="5"/>
  <c r="S8" i="5"/>
  <c r="S7" i="5"/>
  <c r="S6" i="5"/>
  <c r="S5" i="5"/>
  <c r="L16" i="3"/>
  <c r="L15" i="3"/>
  <c r="J17" i="3"/>
  <c r="I3" i="3"/>
  <c r="I2" i="3"/>
  <c r="J16" i="3"/>
  <c r="J15" i="3"/>
  <c r="I4" i="3"/>
  <c r="I5" i="3"/>
  <c r="I6" i="3"/>
  <c r="I7" i="3"/>
  <c r="I8" i="3"/>
  <c r="I9" i="3"/>
  <c r="I10" i="3"/>
  <c r="I11" i="3"/>
  <c r="T19" i="3"/>
  <c r="G2" i="3"/>
  <c r="D13" i="1"/>
  <c r="U12" i="3"/>
  <c r="D9" i="1"/>
  <c r="D19" i="1"/>
  <c r="D6" i="4" l="1"/>
  <c r="E2" i="3"/>
  <c r="G3" i="3"/>
  <c r="G4" i="3"/>
  <c r="G5" i="3"/>
  <c r="G6" i="3"/>
  <c r="G7" i="3"/>
  <c r="G8" i="3"/>
  <c r="G9" i="3"/>
  <c r="G10" i="3"/>
  <c r="G11" i="3"/>
  <c r="E3" i="3"/>
  <c r="E4" i="3"/>
  <c r="E5" i="3"/>
  <c r="E6" i="3"/>
  <c r="E7" i="3"/>
  <c r="E8" i="3"/>
  <c r="E9" i="3"/>
  <c r="E10" i="3"/>
  <c r="E11" i="3"/>
  <c r="Q10" i="3"/>
  <c r="W2" i="3" s="1"/>
  <c r="Q9" i="3"/>
  <c r="V2" i="3" s="1"/>
  <c r="Q6" i="3"/>
  <c r="Y2" i="3" s="1"/>
  <c r="Q8" i="3"/>
  <c r="Q7" i="3"/>
  <c r="Z2" i="3" s="1"/>
  <c r="Q5" i="3"/>
  <c r="X2" i="3" s="1"/>
  <c r="S3" i="3" s="1"/>
  <c r="Q4" i="3"/>
  <c r="Q3" i="3"/>
  <c r="C14" i="2"/>
  <c r="C13" i="2"/>
  <c r="C12" i="2"/>
  <c r="I10" i="2" s="1"/>
  <c r="C16" i="2"/>
  <c r="C15" i="2"/>
  <c r="C11" i="2"/>
  <c r="C10" i="2"/>
  <c r="D7" i="1"/>
  <c r="D8" i="1" s="1"/>
  <c r="D10" i="1" s="1"/>
  <c r="D18" i="1" s="1"/>
  <c r="D20" i="1" s="1"/>
  <c r="S4" i="3" l="1"/>
  <c r="I9" i="2"/>
  <c r="H8" i="3" l="1"/>
  <c r="H9" i="3"/>
  <c r="H6" i="3"/>
  <c r="H10" i="3"/>
  <c r="H2" i="3"/>
  <c r="H5" i="3"/>
  <c r="H7" i="3"/>
  <c r="H3" i="3"/>
  <c r="H11" i="3"/>
  <c r="H4" i="3"/>
  <c r="S5" i="3"/>
  <c r="S6" i="3" s="1"/>
  <c r="S7" i="3" s="1"/>
  <c r="T18" i="3" l="1"/>
  <c r="T17" i="3" s="1"/>
  <c r="S8" i="3"/>
  <c r="U15" i="3" s="1"/>
  <c r="U11" i="3"/>
</calcChain>
</file>

<file path=xl/sharedStrings.xml><?xml version="1.0" encoding="utf-8"?>
<sst xmlns="http://schemas.openxmlformats.org/spreadsheetml/2006/main" count="88" uniqueCount="68">
  <si>
    <t>n</t>
  </si>
  <si>
    <t>Y2</t>
  </si>
  <si>
    <t>X2</t>
  </si>
  <si>
    <t>XY</t>
  </si>
  <si>
    <t>Y</t>
  </si>
  <si>
    <t>X</t>
  </si>
  <si>
    <t>a =</t>
  </si>
  <si>
    <t>b=</t>
  </si>
  <si>
    <t>e=</t>
  </si>
  <si>
    <t>s^2=</t>
  </si>
  <si>
    <t>vb=</t>
  </si>
  <si>
    <t>проверить</t>
  </si>
  <si>
    <t>va</t>
  </si>
  <si>
    <t>A</t>
  </si>
  <si>
    <t>B</t>
  </si>
  <si>
    <t>B = a + b*A + e</t>
  </si>
  <si>
    <t>Acp</t>
  </si>
  <si>
    <t>Bcp</t>
  </si>
  <si>
    <t>A*B</t>
  </si>
  <si>
    <t>СуммА</t>
  </si>
  <si>
    <t>СуммВ</t>
  </si>
  <si>
    <t>СуммквА</t>
  </si>
  <si>
    <t>СуммквВ</t>
  </si>
  <si>
    <t>a=</t>
  </si>
  <si>
    <t>Y-t=a+bX_t</t>
  </si>
  <si>
    <t>произ</t>
  </si>
  <si>
    <t>сумм у</t>
  </si>
  <si>
    <t>сумм х</t>
  </si>
  <si>
    <t>счет</t>
  </si>
  <si>
    <t>суммквУ</t>
  </si>
  <si>
    <t>суммквХ</t>
  </si>
  <si>
    <t>b</t>
  </si>
  <si>
    <t>Xcр</t>
  </si>
  <si>
    <t>Ycр</t>
  </si>
  <si>
    <t>Y_t=bX_t</t>
  </si>
  <si>
    <t>a</t>
  </si>
  <si>
    <t>var(ab)</t>
  </si>
  <si>
    <t>n=8</t>
  </si>
  <si>
    <t xml:space="preserve">s^2 = </t>
  </si>
  <si>
    <t>H0: b0=1</t>
  </si>
  <si>
    <t>t(0.05,14)=</t>
  </si>
  <si>
    <t>tb=</t>
  </si>
  <si>
    <t>H0:b0=-1</t>
  </si>
  <si>
    <t>H0:a0=0</t>
  </si>
  <si>
    <t>va=</t>
  </si>
  <si>
    <t>R^2=</t>
  </si>
  <si>
    <t>RSS</t>
  </si>
  <si>
    <t>TSS</t>
  </si>
  <si>
    <t>Yt=a+bx</t>
  </si>
  <si>
    <t>TSS=</t>
  </si>
  <si>
    <t>RSS=</t>
  </si>
  <si>
    <t>ESS=</t>
  </si>
  <si>
    <t>Т.е. для регрессии без свободного члена - не репрезентативна</t>
  </si>
  <si>
    <t>Yср</t>
  </si>
  <si>
    <t>(X-Xcp)^2</t>
  </si>
  <si>
    <t>(Y-Ycp)^2</t>
  </si>
  <si>
    <t>alpha</t>
  </si>
  <si>
    <t>n=</t>
  </si>
  <si>
    <t>s=</t>
  </si>
  <si>
    <t>vb</t>
  </si>
  <si>
    <t>t</t>
  </si>
  <si>
    <t>bл=</t>
  </si>
  <si>
    <t>bп=</t>
  </si>
  <si>
    <t>Va=</t>
  </si>
  <si>
    <t>верх гр.</t>
  </si>
  <si>
    <t>ta=</t>
  </si>
  <si>
    <t>x-xcp</t>
  </si>
  <si>
    <t>y-ycp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</si>
</sst>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13</xdr:row>
      <xdr:rowOff>15240</xdr:rowOff>
    </xdr:from>
    <xdr:to>
      <xdr:col>18</xdr:col>
      <xdr:colOff>294509</xdr:colOff>
      <xdr:row>17</xdr:row>
      <xdr:rowOff>112291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2392680"/>
          <a:ext cx="6123809" cy="8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449580</xdr:colOff>
      <xdr:row>17</xdr:row>
      <xdr:rowOff>68580</xdr:rowOff>
    </xdr:from>
    <xdr:to>
      <xdr:col>20</xdr:col>
      <xdr:colOff>258113</xdr:colOff>
      <xdr:row>31</xdr:row>
      <xdr:rowOff>51117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6780" y="3177540"/>
          <a:ext cx="7733333" cy="25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285750</xdr:colOff>
      <xdr:row>0</xdr:row>
      <xdr:rowOff>0</xdr:rowOff>
    </xdr:from>
    <xdr:to>
      <xdr:col>20</xdr:col>
      <xdr:colOff>27455</xdr:colOff>
      <xdr:row>19</xdr:row>
      <xdr:rowOff>111915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0"/>
          <a:ext cx="6447305" cy="3610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27428</xdr:colOff>
      <xdr:row>27</xdr:row>
      <xdr:rowOff>94617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71428" cy="50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9</xdr:col>
      <xdr:colOff>85333</xdr:colOff>
      <xdr:row>20</xdr:row>
      <xdr:rowOff>89341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194560"/>
          <a:ext cx="3133333" cy="15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541790</xdr:colOff>
      <xdr:row>26</xdr:row>
      <xdr:rowOff>135909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076190" cy="49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0"/>
  <sheetViews>
    <sheetView zoomScale="85" zoomScaleNormal="85" workbookViewId="0">
      <selection activeCell="D13" sqref="D13"/>
    </sheetView>
  </sheetViews>
  <sheetFormatPr defaultRowHeight="14.5" x14ac:dyDescent="0.35"/>
  <sheetData>
    <row r="1" spans="3:12" x14ac:dyDescent="0.35"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5</v>
      </c>
    </row>
    <row r="2" spans="3:12" x14ac:dyDescent="0.35">
      <c r="G2">
        <v>16</v>
      </c>
      <c r="H2">
        <v>526</v>
      </c>
      <c r="I2">
        <v>657</v>
      </c>
      <c r="J2">
        <v>492</v>
      </c>
      <c r="K2">
        <v>64</v>
      </c>
      <c r="L2">
        <v>96</v>
      </c>
    </row>
    <row r="7" spans="3:12" x14ac:dyDescent="0.35">
      <c r="C7" t="s">
        <v>7</v>
      </c>
      <c r="D7">
        <f>(G2*J2-K2*L2)/(G2*I2-L2^2)</f>
        <v>1.3333333333333333</v>
      </c>
    </row>
    <row r="8" spans="3:12" x14ac:dyDescent="0.35">
      <c r="C8" t="s">
        <v>6</v>
      </c>
      <c r="D8">
        <f>(K2-D7*L2)/G2</f>
        <v>-4</v>
      </c>
    </row>
    <row r="9" spans="3:12" x14ac:dyDescent="0.35">
      <c r="C9" t="s">
        <v>8</v>
      </c>
      <c r="D9">
        <f>H2+G2*D8^2+D7^2*I2 + 2*D8*D7*L2 - 2*K2*D8 - 2*J2*D7</f>
        <v>126</v>
      </c>
    </row>
    <row r="10" spans="3:12" x14ac:dyDescent="0.35">
      <c r="C10" t="s">
        <v>9</v>
      </c>
      <c r="D10">
        <f>D9/(G2-2)</f>
        <v>9</v>
      </c>
    </row>
    <row r="13" spans="3:12" x14ac:dyDescent="0.35">
      <c r="C13" t="s">
        <v>10</v>
      </c>
      <c r="D13">
        <f>D10/(I2-2*L2*L2/G2+G2*(L2/G2)^2)</f>
        <v>0.1111111111111111</v>
      </c>
      <c r="E13" t="s">
        <v>11</v>
      </c>
    </row>
    <row r="14" spans="3:12" x14ac:dyDescent="0.35">
      <c r="C14" t="s">
        <v>12</v>
      </c>
    </row>
    <row r="17" spans="3:4" x14ac:dyDescent="0.35">
      <c r="C17" t="s">
        <v>39</v>
      </c>
    </row>
    <row r="18" spans="3:4" x14ac:dyDescent="0.35">
      <c r="C18" t="s">
        <v>41</v>
      </c>
      <c r="D18">
        <f>(D7-1)/SQRT(D13)</f>
        <v>0.99999999999999978</v>
      </c>
    </row>
    <row r="19" spans="3:4" x14ac:dyDescent="0.35">
      <c r="C19" t="s">
        <v>40</v>
      </c>
      <c r="D19">
        <f>_xlfn.T.INV.2T(0.05,14)</f>
        <v>2.1447866879178044</v>
      </c>
    </row>
    <row r="20" spans="3:4" x14ac:dyDescent="0.35">
      <c r="D20" t="str">
        <f>IF(D19&gt;D18,"не отвергаем","H1")</f>
        <v>не отвергаем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workbookViewId="0">
      <selection activeCell="I16" sqref="I16"/>
    </sheetView>
  </sheetViews>
  <sheetFormatPr defaultRowHeight="14.5" x14ac:dyDescent="0.35"/>
  <sheetData>
    <row r="3" spans="2:9" x14ac:dyDescent="0.35">
      <c r="B3" t="s">
        <v>13</v>
      </c>
      <c r="C3">
        <v>80</v>
      </c>
      <c r="D3">
        <v>75</v>
      </c>
      <c r="E3">
        <v>75</v>
      </c>
      <c r="F3">
        <v>90</v>
      </c>
    </row>
    <row r="4" spans="2:9" x14ac:dyDescent="0.35">
      <c r="B4" t="s">
        <v>14</v>
      </c>
      <c r="C4">
        <v>70</v>
      </c>
      <c r="D4">
        <v>75</v>
      </c>
      <c r="E4">
        <v>60</v>
      </c>
      <c r="F4">
        <v>95</v>
      </c>
    </row>
    <row r="6" spans="2:9" x14ac:dyDescent="0.35">
      <c r="B6" t="s">
        <v>15</v>
      </c>
    </row>
    <row r="8" spans="2:9" x14ac:dyDescent="0.35">
      <c r="H8" t="s">
        <v>9</v>
      </c>
      <c r="I8">
        <v>72.92</v>
      </c>
    </row>
    <row r="9" spans="2:9" x14ac:dyDescent="0.35">
      <c r="H9" t="s">
        <v>23</v>
      </c>
      <c r="I9">
        <f>C11-C10*I10</f>
        <v>-71.666666666666657</v>
      </c>
    </row>
    <row r="10" spans="2:9" x14ac:dyDescent="0.35">
      <c r="B10" t="s">
        <v>16</v>
      </c>
      <c r="C10">
        <f>AVERAGE(C3:F3)</f>
        <v>80</v>
      </c>
      <c r="H10" t="s">
        <v>7</v>
      </c>
      <c r="I10">
        <f>(4*C12-C13*C14)/(4*C15-C13^2)</f>
        <v>1.8333333333333333</v>
      </c>
    </row>
    <row r="11" spans="2:9" x14ac:dyDescent="0.35">
      <c r="B11" t="s">
        <v>17</v>
      </c>
      <c r="C11">
        <f>AVERAGE(C4:F4)</f>
        <v>75</v>
      </c>
    </row>
    <row r="12" spans="2:9" x14ac:dyDescent="0.35">
      <c r="B12" t="s">
        <v>18</v>
      </c>
      <c r="C12">
        <f>SUMPRODUCT(C3:F3,C4:F4)</f>
        <v>24275</v>
      </c>
      <c r="H12" t="s">
        <v>63</v>
      </c>
      <c r="I12">
        <f>I8*C15/(4*(C15-2*C13*C13/4+4*(C13/4)^2))</f>
        <v>3129.4833333333331</v>
      </c>
    </row>
    <row r="13" spans="2:9" x14ac:dyDescent="0.35">
      <c r="B13" t="s">
        <v>19</v>
      </c>
      <c r="C13">
        <f>SUM(C3:F3)</f>
        <v>320</v>
      </c>
      <c r="H13" t="s">
        <v>64</v>
      </c>
      <c r="I13">
        <f>_xlfn.T.INV.2T(0.05,2)</f>
        <v>4.3026527297494637</v>
      </c>
    </row>
    <row r="14" spans="2:9" x14ac:dyDescent="0.35">
      <c r="B14" t="s">
        <v>20</v>
      </c>
      <c r="C14">
        <f>SUM(C4:F4)</f>
        <v>300</v>
      </c>
      <c r="H14" t="s">
        <v>65</v>
      </c>
      <c r="I14">
        <f>I9+SQRT(I12)*I13</f>
        <v>169.031408206946</v>
      </c>
    </row>
    <row r="15" spans="2:9" x14ac:dyDescent="0.35">
      <c r="B15" t="s">
        <v>21</v>
      </c>
      <c r="C15">
        <f>SUMSQ(C3:F3)</f>
        <v>25750</v>
      </c>
    </row>
    <row r="16" spans="2:9" x14ac:dyDescent="0.35">
      <c r="B16" t="s">
        <v>22</v>
      </c>
      <c r="C16">
        <f>SUMSQ(C4:F4)</f>
        <v>23150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9"/>
  <sheetViews>
    <sheetView topLeftCell="B1" workbookViewId="0">
      <selection activeCell="F4" sqref="F4"/>
    </sheetView>
  </sheetViews>
  <sheetFormatPr defaultRowHeight="14.5" x14ac:dyDescent="0.35"/>
  <sheetData>
    <row r="1" spans="2:26" x14ac:dyDescent="0.35">
      <c r="B1" t="s">
        <v>4</v>
      </c>
      <c r="C1" t="s">
        <v>5</v>
      </c>
      <c r="F1" t="s">
        <v>53</v>
      </c>
      <c r="H1" t="s">
        <v>48</v>
      </c>
      <c r="I1" t="s">
        <v>34</v>
      </c>
      <c r="U1" t="s">
        <v>0</v>
      </c>
      <c r="V1" t="s">
        <v>1</v>
      </c>
      <c r="W1" t="s">
        <v>2</v>
      </c>
      <c r="X1" t="s">
        <v>3</v>
      </c>
      <c r="Y1" t="s">
        <v>4</v>
      </c>
      <c r="Z1" t="s">
        <v>5</v>
      </c>
    </row>
    <row r="2" spans="2:26" x14ac:dyDescent="0.35">
      <c r="B2">
        <v>70</v>
      </c>
      <c r="C2">
        <v>5</v>
      </c>
      <c r="D2">
        <v>20.7</v>
      </c>
      <c r="E2">
        <f>C2-D2</f>
        <v>-15.7</v>
      </c>
      <c r="F2">
        <v>46.2</v>
      </c>
      <c r="G2">
        <f>B2-F2</f>
        <v>23.799999999999997</v>
      </c>
      <c r="H2">
        <f>$S$4+$S$3*C2</f>
        <v>71.7973174366617</v>
      </c>
      <c r="I2">
        <f>$Q$16*C2</f>
        <v>8.2999999999999989</v>
      </c>
      <c r="P2" t="s">
        <v>24</v>
      </c>
      <c r="U2">
        <v>10</v>
      </c>
      <c r="V2">
        <f>Q9</f>
        <v>23624</v>
      </c>
      <c r="W2">
        <f>Q10</f>
        <v>5023</v>
      </c>
      <c r="X2">
        <f>Q5</f>
        <v>8360</v>
      </c>
      <c r="Y2">
        <f>Q6</f>
        <v>462</v>
      </c>
      <c r="Z2">
        <f>Q7</f>
        <v>207</v>
      </c>
    </row>
    <row r="3" spans="2:26" x14ac:dyDescent="0.35">
      <c r="B3">
        <v>65</v>
      </c>
      <c r="C3">
        <v>11</v>
      </c>
      <c r="D3">
        <v>20.7</v>
      </c>
      <c r="E3">
        <f t="shared" ref="E3:E11" si="0">C3-D3</f>
        <v>-9.6999999999999993</v>
      </c>
      <c r="F3">
        <v>46.2</v>
      </c>
      <c r="G3">
        <f t="shared" ref="G3:G11" si="1">B3-F3</f>
        <v>18.799999999999997</v>
      </c>
      <c r="H3">
        <f>$S$4+$S$3*C3</f>
        <v>62.014903129657235</v>
      </c>
      <c r="I3">
        <f>$Q$16*C3</f>
        <v>18.259999999999998</v>
      </c>
      <c r="P3" t="s">
        <v>32</v>
      </c>
      <c r="Q3">
        <f>AVERAGE(C2:C11)</f>
        <v>20.7</v>
      </c>
      <c r="R3" t="s">
        <v>7</v>
      </c>
      <c r="S3">
        <f>(U2*X2-Y2*Z2)/(U2*W2-Z2^2)</f>
        <v>-1.6304023845007451</v>
      </c>
    </row>
    <row r="4" spans="2:26" x14ac:dyDescent="0.35">
      <c r="B4">
        <v>55</v>
      </c>
      <c r="C4">
        <v>15</v>
      </c>
      <c r="D4">
        <v>20.7</v>
      </c>
      <c r="E4">
        <f t="shared" si="0"/>
        <v>-5.6999999999999993</v>
      </c>
      <c r="F4">
        <v>46.2</v>
      </c>
      <c r="G4">
        <f t="shared" si="1"/>
        <v>8.7999999999999972</v>
      </c>
      <c r="H4">
        <f>$S$4+$S$3*C4</f>
        <v>55.49329359165425</v>
      </c>
      <c r="I4">
        <f t="shared" ref="I3:I11" si="2">$Q$16*C4</f>
        <v>24.9</v>
      </c>
      <c r="P4" t="s">
        <v>33</v>
      </c>
      <c r="Q4">
        <f>AVERAGE(B2:B11)</f>
        <v>46.2</v>
      </c>
      <c r="R4" t="s">
        <v>6</v>
      </c>
      <c r="S4">
        <f>(Y2-S3*Z2)/U2</f>
        <v>79.949329359165432</v>
      </c>
    </row>
    <row r="5" spans="2:26" x14ac:dyDescent="0.35">
      <c r="B5">
        <v>60</v>
      </c>
      <c r="C5">
        <v>17</v>
      </c>
      <c r="D5">
        <v>20.7</v>
      </c>
      <c r="E5">
        <f t="shared" si="0"/>
        <v>-3.6999999999999993</v>
      </c>
      <c r="F5">
        <v>46.2</v>
      </c>
      <c r="G5">
        <f t="shared" si="1"/>
        <v>13.799999999999997</v>
      </c>
      <c r="H5">
        <f>$S$4+$S$3*C5</f>
        <v>52.232488822652769</v>
      </c>
      <c r="I5">
        <f t="shared" si="2"/>
        <v>28.22</v>
      </c>
      <c r="P5" t="s">
        <v>25</v>
      </c>
      <c r="Q5">
        <f>SUMPRODUCT(B2:B11,C2:C11)</f>
        <v>8360</v>
      </c>
      <c r="R5" t="s">
        <v>8</v>
      </c>
      <c r="S5">
        <f>V2+U2*S4^2+S3^2*W2 + 2*S4*S3*Z2 - 2*Y2*S4 - 2*X2*S3</f>
        <v>317.57377049178467</v>
      </c>
    </row>
    <row r="6" spans="2:26" x14ac:dyDescent="0.35">
      <c r="B6">
        <v>50</v>
      </c>
      <c r="C6">
        <v>20</v>
      </c>
      <c r="D6">
        <v>20.7</v>
      </c>
      <c r="E6">
        <f t="shared" si="0"/>
        <v>-0.69999999999999929</v>
      </c>
      <c r="F6">
        <v>46.2</v>
      </c>
      <c r="G6">
        <f t="shared" si="1"/>
        <v>3.7999999999999972</v>
      </c>
      <c r="H6">
        <f>$S$4+$S$3*C6</f>
        <v>47.341281669150533</v>
      </c>
      <c r="I6">
        <f t="shared" si="2"/>
        <v>33.199999999999996</v>
      </c>
      <c r="P6" t="s">
        <v>26</v>
      </c>
      <c r="Q6">
        <f>SUM(B2:B11)</f>
        <v>462</v>
      </c>
      <c r="R6" t="s">
        <v>9</v>
      </c>
      <c r="S6">
        <f>S5/(U2-2)</f>
        <v>39.696721311473084</v>
      </c>
    </row>
    <row r="7" spans="2:26" x14ac:dyDescent="0.35">
      <c r="B7">
        <v>35</v>
      </c>
      <c r="C7">
        <v>22</v>
      </c>
      <c r="D7">
        <v>20.7</v>
      </c>
      <c r="E7">
        <f t="shared" si="0"/>
        <v>1.3000000000000007</v>
      </c>
      <c r="F7">
        <v>46.2</v>
      </c>
      <c r="G7">
        <f t="shared" si="1"/>
        <v>-11.200000000000003</v>
      </c>
      <c r="H7">
        <f>$S$4+$S$3*C7</f>
        <v>44.080476900149037</v>
      </c>
      <c r="I7">
        <f t="shared" si="2"/>
        <v>36.519999999999996</v>
      </c>
      <c r="P7" t="s">
        <v>27</v>
      </c>
      <c r="Q7">
        <f>SUM(C2:C11)</f>
        <v>207</v>
      </c>
      <c r="R7" t="s">
        <v>10</v>
      </c>
      <c r="S7">
        <f>S6/(W2-2*Z2*Z2/U2+U2*(Z2/U2)^2)</f>
        <v>5.3782307697429976E-2</v>
      </c>
    </row>
    <row r="8" spans="2:26" x14ac:dyDescent="0.35">
      <c r="B8">
        <v>40</v>
      </c>
      <c r="C8">
        <v>25</v>
      </c>
      <c r="D8">
        <v>20.7</v>
      </c>
      <c r="E8">
        <f t="shared" si="0"/>
        <v>4.3000000000000007</v>
      </c>
      <c r="F8">
        <v>46.2</v>
      </c>
      <c r="G8">
        <f t="shared" si="1"/>
        <v>-6.2000000000000028</v>
      </c>
      <c r="H8">
        <f>$S$4+$S$3*C8</f>
        <v>39.189269746646801</v>
      </c>
      <c r="I8">
        <f t="shared" si="2"/>
        <v>41.5</v>
      </c>
      <c r="P8" t="s">
        <v>28</v>
      </c>
      <c r="Q8">
        <f>COUNT(C2:C11)</f>
        <v>10</v>
      </c>
      <c r="R8" t="s">
        <v>44</v>
      </c>
      <c r="S8">
        <f>S7*W2/U2</f>
        <v>27.014853156419075</v>
      </c>
    </row>
    <row r="9" spans="2:26" x14ac:dyDescent="0.35">
      <c r="B9">
        <v>30</v>
      </c>
      <c r="C9">
        <v>27</v>
      </c>
      <c r="D9">
        <v>20.7</v>
      </c>
      <c r="E9">
        <f t="shared" si="0"/>
        <v>6.3000000000000007</v>
      </c>
      <c r="F9">
        <v>46.2</v>
      </c>
      <c r="G9">
        <f t="shared" si="1"/>
        <v>-16.200000000000003</v>
      </c>
      <c r="H9">
        <f>$S$4+$S$3*C9</f>
        <v>35.928464977645312</v>
      </c>
      <c r="I9">
        <f t="shared" si="2"/>
        <v>44.82</v>
      </c>
      <c r="P9" t="s">
        <v>29</v>
      </c>
      <c r="Q9">
        <f>SUMSQ(B2:B11)</f>
        <v>23624</v>
      </c>
    </row>
    <row r="10" spans="2:26" x14ac:dyDescent="0.35">
      <c r="B10">
        <v>25</v>
      </c>
      <c r="C10">
        <v>30</v>
      </c>
      <c r="D10">
        <v>20.7</v>
      </c>
      <c r="E10">
        <f t="shared" si="0"/>
        <v>9.3000000000000007</v>
      </c>
      <c r="F10">
        <v>46.2</v>
      </c>
      <c r="G10">
        <f t="shared" si="1"/>
        <v>-21.200000000000003</v>
      </c>
      <c r="H10">
        <f>$S$4+$S$3*C10</f>
        <v>31.037257824143076</v>
      </c>
      <c r="I10">
        <f t="shared" si="2"/>
        <v>49.8</v>
      </c>
      <c r="P10" t="s">
        <v>30</v>
      </c>
      <c r="Q10">
        <f>SUMSQ(C2:C11)</f>
        <v>5023</v>
      </c>
    </row>
    <row r="11" spans="2:26" x14ac:dyDescent="0.35">
      <c r="B11">
        <v>32</v>
      </c>
      <c r="C11">
        <v>35</v>
      </c>
      <c r="D11">
        <v>20.7</v>
      </c>
      <c r="E11">
        <f t="shared" si="0"/>
        <v>14.3</v>
      </c>
      <c r="F11">
        <v>46.2</v>
      </c>
      <c r="G11">
        <f t="shared" si="1"/>
        <v>-14.200000000000003</v>
      </c>
      <c r="H11">
        <f>$S$4+$S$3*C11</f>
        <v>22.885245901639351</v>
      </c>
      <c r="I11">
        <f t="shared" si="2"/>
        <v>58.099999999999994</v>
      </c>
      <c r="S11" t="s">
        <v>42</v>
      </c>
      <c r="U11">
        <f>(S3+1)/SQRT(S7)</f>
        <v>-2.7183046665467341</v>
      </c>
    </row>
    <row r="12" spans="2:26" x14ac:dyDescent="0.35">
      <c r="U12">
        <f>_xlfn.T.INV.2T(0.02,8)</f>
        <v>2.8964594477096224</v>
      </c>
    </row>
    <row r="15" spans="2:26" x14ac:dyDescent="0.35">
      <c r="I15" t="s">
        <v>49</v>
      </c>
      <c r="J15">
        <f>SUMXMY2(B2:B11,F2:F11)</f>
        <v>2279.6</v>
      </c>
      <c r="K15" t="s">
        <v>45</v>
      </c>
      <c r="L15">
        <f>J16/J15</f>
        <v>1.5069708720828219</v>
      </c>
      <c r="S15" t="s">
        <v>43</v>
      </c>
      <c r="U15">
        <f>S4/SQRT(S8)</f>
        <v>15.382025234682022</v>
      </c>
    </row>
    <row r="16" spans="2:26" x14ac:dyDescent="0.35">
      <c r="I16" t="s">
        <v>50</v>
      </c>
      <c r="J16">
        <f>SUMXMY2(I2:I11,F2:F11)</f>
        <v>3435.2908000000007</v>
      </c>
      <c r="K16" t="s">
        <v>45</v>
      </c>
      <c r="L16">
        <f>1-J17/J15</f>
        <v>-3.2595976487103</v>
      </c>
      <c r="P16" t="s">
        <v>7</v>
      </c>
      <c r="Q16" s="1">
        <v>1.66</v>
      </c>
    </row>
    <row r="17" spans="9:20" x14ac:dyDescent="0.35">
      <c r="I17" t="s">
        <v>51</v>
      </c>
      <c r="J17">
        <f>SUMXMY2(B2:B11,I2:I11)</f>
        <v>9710.1787999999997</v>
      </c>
      <c r="S17" t="s">
        <v>45</v>
      </c>
      <c r="T17">
        <f>T18/T19</f>
        <v>0.86068881799798069</v>
      </c>
    </row>
    <row r="18" spans="9:20" x14ac:dyDescent="0.35">
      <c r="S18" t="s">
        <v>46</v>
      </c>
      <c r="T18">
        <f>SUMXMY2(H2:H11,F2:F11)</f>
        <v>1962.0262295081966</v>
      </c>
    </row>
    <row r="19" spans="9:20" x14ac:dyDescent="0.35">
      <c r="I19" t="s">
        <v>52</v>
      </c>
      <c r="S19" t="s">
        <v>47</v>
      </c>
      <c r="T19">
        <f>SUMXMY2(B2:B11,F2:F11)</f>
        <v>2279.6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5:S15"/>
  <sheetViews>
    <sheetView zoomScale="62" workbookViewId="0">
      <selection activeCell="T16" sqref="T16"/>
    </sheetView>
  </sheetViews>
  <sheetFormatPr defaultRowHeight="14.5" x14ac:dyDescent="0.35"/>
  <sheetData>
    <row r="5" spans="18:19" x14ac:dyDescent="0.35">
      <c r="R5" t="s">
        <v>7</v>
      </c>
      <c r="S5">
        <f>-35.69</f>
        <v>-35.69</v>
      </c>
    </row>
    <row r="6" spans="18:19" x14ac:dyDescent="0.35">
      <c r="R6" t="s">
        <v>54</v>
      </c>
      <c r="S6">
        <f>1.62</f>
        <v>1.62</v>
      </c>
    </row>
    <row r="7" spans="18:19" x14ac:dyDescent="0.35">
      <c r="R7" t="s">
        <v>55</v>
      </c>
      <c r="S7">
        <f>2394</f>
        <v>2394</v>
      </c>
    </row>
    <row r="8" spans="18:19" x14ac:dyDescent="0.35">
      <c r="R8" t="s">
        <v>56</v>
      </c>
      <c r="S8">
        <f>0.1</f>
        <v>0.1</v>
      </c>
    </row>
    <row r="9" spans="18:19" x14ac:dyDescent="0.35">
      <c r="R9" t="s">
        <v>57</v>
      </c>
      <c r="S9">
        <v>8</v>
      </c>
    </row>
    <row r="11" spans="18:19" x14ac:dyDescent="0.35">
      <c r="R11" t="s">
        <v>58</v>
      </c>
      <c r="S11">
        <f>S7/6</f>
        <v>399</v>
      </c>
    </row>
    <row r="12" spans="18:19" x14ac:dyDescent="0.35">
      <c r="R12" t="s">
        <v>59</v>
      </c>
      <c r="S12">
        <f>S11/S6</f>
        <v>246.29629629629628</v>
      </c>
    </row>
    <row r="13" spans="18:19" x14ac:dyDescent="0.35">
      <c r="R13" t="s">
        <v>60</v>
      </c>
      <c r="S13">
        <f>_xlfn.T.INV.2T(0.1,6)</f>
        <v>1.9431802805153031</v>
      </c>
    </row>
    <row r="14" spans="18:19" x14ac:dyDescent="0.35">
      <c r="R14" t="s">
        <v>61</v>
      </c>
      <c r="S14">
        <f>S5-S13*SQRT(S12)</f>
        <v>-66.185940748201148</v>
      </c>
    </row>
    <row r="15" spans="18:19" x14ac:dyDescent="0.35">
      <c r="R15" t="s">
        <v>62</v>
      </c>
      <c r="S15">
        <f>S5+SQRT(S12)*S13</f>
        <v>-5.1940592517988406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7"/>
  <sheetViews>
    <sheetView tabSelected="1" workbookViewId="0">
      <selection activeCell="I10" sqref="I10"/>
    </sheetView>
  </sheetViews>
  <sheetFormatPr defaultRowHeight="14.5" x14ac:dyDescent="0.35"/>
  <sheetData>
    <row r="2" spans="3:11" x14ac:dyDescent="0.35">
      <c r="C2" t="s">
        <v>37</v>
      </c>
    </row>
    <row r="3" spans="3:11" x14ac:dyDescent="0.35">
      <c r="C3" t="s">
        <v>35</v>
      </c>
      <c r="D3">
        <v>0.5</v>
      </c>
    </row>
    <row r="4" spans="3:11" x14ac:dyDescent="0.35">
      <c r="C4" t="s">
        <v>31</v>
      </c>
      <c r="D4">
        <v>0.2</v>
      </c>
    </row>
    <row r="6" spans="3:11" x14ac:dyDescent="0.35">
      <c r="C6" t="s">
        <v>36</v>
      </c>
      <c r="D6">
        <f>0.00055</f>
        <v>5.5000000000000003E-4</v>
      </c>
      <c r="E6">
        <v>-1E-4</v>
      </c>
      <c r="K6" t="s">
        <v>38</v>
      </c>
    </row>
    <row r="7" spans="3:11" x14ac:dyDescent="0.35">
      <c r="D7">
        <v>-1E-4</v>
      </c>
      <c r="E7">
        <v>2.0000000000000002E-5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8:T10"/>
  <sheetViews>
    <sheetView topLeftCell="A3" zoomScale="63" workbookViewId="0">
      <selection activeCell="U17" sqref="U17"/>
    </sheetView>
  </sheetViews>
  <sheetFormatPr defaultRowHeight="14.5" x14ac:dyDescent="0.35"/>
  <sheetData>
    <row r="8" spans="19:20" x14ac:dyDescent="0.35">
      <c r="S8" t="s">
        <v>7</v>
      </c>
      <c r="T8">
        <f>2.065</f>
        <v>2.0649999999999999</v>
      </c>
    </row>
    <row r="9" spans="19:20" x14ac:dyDescent="0.35">
      <c r="S9" t="s">
        <v>66</v>
      </c>
      <c r="T9">
        <f>42</f>
        <v>42</v>
      </c>
    </row>
    <row r="10" spans="19:20" x14ac:dyDescent="0.35">
      <c r="S10" t="s">
        <v>67</v>
      </c>
      <c r="T10">
        <f>182</f>
        <v>182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зад</vt:lpstr>
      <vt:lpstr>2 зад</vt:lpstr>
      <vt:lpstr>3 зад</vt:lpstr>
      <vt:lpstr>5 зад</vt:lpstr>
      <vt:lpstr>4 зад</vt:lpstr>
      <vt:lpstr>6зад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2020-09-28T09:31:11Z</dcterms:modified>
</cp:coreProperties>
</file>